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woodward\Downloads\"/>
    </mc:Choice>
  </mc:AlternateContent>
  <xr:revisionPtr revIDLastSave="0" documentId="13_ncr:1_{3EC7E48D-3F70-4AC7-A8DE-BF6EDDFB2F8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  <c r="J45" i="1" s="1"/>
  <c r="D47" i="1"/>
  <c r="I16" i="1" l="1"/>
  <c r="J16" i="1"/>
  <c r="E33" i="1"/>
  <c r="F33" i="1"/>
  <c r="I35" i="1"/>
  <c r="D37" i="1"/>
  <c r="E37" i="1"/>
  <c r="I6" i="1"/>
  <c r="I19" i="1"/>
  <c r="E23" i="1"/>
  <c r="E40" i="1" s="1"/>
  <c r="E38" i="1"/>
  <c r="I5" i="1"/>
  <c r="J19" i="1"/>
  <c r="I22" i="1"/>
  <c r="I3" i="1"/>
  <c r="J42" i="1"/>
  <c r="I23" i="1"/>
  <c r="I38" i="1"/>
  <c r="J38" i="1"/>
  <c r="J27" i="1"/>
  <c r="E17" i="1"/>
  <c r="J28" i="1"/>
  <c r="E18" i="1"/>
  <c r="I18" i="1"/>
  <c r="I43" i="1"/>
  <c r="J18" i="1"/>
  <c r="F31" i="1"/>
  <c r="J43" i="1"/>
  <c r="E24" i="1"/>
  <c r="E42" i="1"/>
  <c r="I42" i="1"/>
  <c r="J29" i="1"/>
  <c r="E29" i="1"/>
  <c r="E19" i="1"/>
  <c r="E20" i="1"/>
  <c r="F29" i="1"/>
  <c r="E39" i="1"/>
  <c r="I12" i="1"/>
  <c r="D46" i="1" s="1"/>
  <c r="E21" i="1"/>
  <c r="E41" i="1" s="1"/>
  <c r="J30" i="1"/>
  <c r="I39" i="1"/>
  <c r="I44" i="1"/>
  <c r="E22" i="1"/>
  <c r="E31" i="1"/>
  <c r="J39" i="1"/>
  <c r="J44" i="1"/>
  <c r="E16" i="1"/>
  <c r="D23" i="1"/>
  <c r="D40" i="1" s="1"/>
</calcChain>
</file>

<file path=xl/sharedStrings.xml><?xml version="1.0" encoding="utf-8"?>
<sst xmlns="http://schemas.openxmlformats.org/spreadsheetml/2006/main" count="112" uniqueCount="90">
  <si>
    <t>EMERGENCY DRUGS</t>
  </si>
  <si>
    <t>Drugs</t>
  </si>
  <si>
    <t xml:space="preserve">mls </t>
  </si>
  <si>
    <t>DVM Ascent branded clinical dosing reference</t>
  </si>
  <si>
    <t xml:space="preserve">Atropine </t>
  </si>
  <si>
    <t>PATIENT PROFILE</t>
  </si>
  <si>
    <t>Epi LOW</t>
  </si>
  <si>
    <t>Patient Name</t>
  </si>
  <si>
    <t>Epi HIGH</t>
  </si>
  <si>
    <t>Naloxone</t>
  </si>
  <si>
    <t>(full dose)</t>
  </si>
  <si>
    <t>Weight</t>
  </si>
  <si>
    <t>lbs</t>
  </si>
  <si>
    <t>kg</t>
  </si>
  <si>
    <t xml:space="preserve">Flumazinil </t>
  </si>
  <si>
    <t>SEDATIVES / PREMEDICATIONS</t>
  </si>
  <si>
    <t>FLUIDS</t>
  </si>
  <si>
    <t>full ml/hr</t>
  </si>
  <si>
    <t>half ml/hr</t>
  </si>
  <si>
    <t xml:space="preserve">Drug </t>
  </si>
  <si>
    <t>Dosing</t>
  </si>
  <si>
    <t>LRS/NaCl</t>
  </si>
  <si>
    <t>Dexdomitor 0.5mg/ml</t>
  </si>
  <si>
    <t>3–10 mcg/kg</t>
  </si>
  <si>
    <t>High 10ug/kg</t>
  </si>
  <si>
    <t>5 mcg/kg IM</t>
  </si>
  <si>
    <t>IM 5ug</t>
  </si>
  <si>
    <t>Hetastarch</t>
  </si>
  <si>
    <t>3 mcg/kg IV</t>
  </si>
  <si>
    <t>IV 3ug</t>
  </si>
  <si>
    <t>Dog</t>
  </si>
  <si>
    <t xml:space="preserve">Butorphanol 10mg/ml  </t>
  </si>
  <si>
    <t>0.2 mg/kg</t>
  </si>
  <si>
    <t>Cat</t>
  </si>
  <si>
    <t>Hydromorphone 2mg/ml</t>
  </si>
  <si>
    <t>0.1 mg/kg</t>
  </si>
  <si>
    <t>Morphine 10mg/ml</t>
  </si>
  <si>
    <t>LRS Bolus - Hypotension (full) mls</t>
  </si>
  <si>
    <t>Buprenorphine 0.3mg/ml</t>
  </si>
  <si>
    <t>0.01 mg/kg</t>
  </si>
  <si>
    <t xml:space="preserve">Dog </t>
  </si>
  <si>
    <t xml:space="preserve">Simbadol 1.8mg/ml </t>
  </si>
  <si>
    <t>0.12–0.24 mg/kg</t>
  </si>
  <si>
    <t>Midazolam 5mg/ml</t>
  </si>
  <si>
    <t>OTHER POST / PERI-OP DRUGS</t>
  </si>
  <si>
    <t>Cerenia 10mg/ml</t>
  </si>
  <si>
    <t>ANESTHETIC INDUCTION</t>
  </si>
  <si>
    <t>mls</t>
  </si>
  <si>
    <t>Convenia 80mg/ml</t>
  </si>
  <si>
    <t>4mg/kg</t>
  </si>
  <si>
    <t>6mg/kg</t>
  </si>
  <si>
    <t>Cefazolin 100mg/ml</t>
  </si>
  <si>
    <t>Propofol 10mg/ml</t>
  </si>
  <si>
    <t>4–6 mg/kg</t>
  </si>
  <si>
    <t>ProHeart 6 or 12</t>
  </si>
  <si>
    <t>Alfaxalone 10mg/ml</t>
  </si>
  <si>
    <t>GO HOME MEDICATIONS</t>
  </si>
  <si>
    <t>Drug</t>
  </si>
  <si>
    <t>Carprofen</t>
  </si>
  <si>
    <t>POST-OP PAIN MEDICATIONS</t>
  </si>
  <si>
    <t>Onsior 6mg</t>
  </si>
  <si>
    <t>1 tab</t>
  </si>
  <si>
    <t>2 tab</t>
  </si>
  <si>
    <t>Carprofen 50mg/ml</t>
  </si>
  <si>
    <t>2.2–4.4 mg/kg</t>
  </si>
  <si>
    <t xml:space="preserve">Meloxicam </t>
  </si>
  <si>
    <t>DOG mls</t>
  </si>
  <si>
    <t>CAT mls</t>
  </si>
  <si>
    <t>Meloxicam 5mg/ml</t>
  </si>
  <si>
    <t>dog</t>
  </si>
  <si>
    <t>1.5mg/ml</t>
  </si>
  <si>
    <t>cat</t>
  </si>
  <si>
    <t>0.5mg/ml</t>
  </si>
  <si>
    <t>Simbadol 1.8mg/ml</t>
  </si>
  <si>
    <t>Gabapentin</t>
  </si>
  <si>
    <t>Low mg</t>
  </si>
  <si>
    <t>High mg</t>
  </si>
  <si>
    <t xml:space="preserve">Onsior 20mg/ml </t>
  </si>
  <si>
    <t>2 mg/kg</t>
  </si>
  <si>
    <t>REVERSAL AGENTS</t>
  </si>
  <si>
    <t>Antisedan = same volume of DexDomitor</t>
  </si>
  <si>
    <t>Trazodone</t>
  </si>
  <si>
    <t xml:space="preserve">full dose </t>
  </si>
  <si>
    <t>Cefpodoxime</t>
  </si>
  <si>
    <t xml:space="preserve">Naloxone </t>
  </si>
  <si>
    <t>Metronidazole</t>
  </si>
  <si>
    <t>Anesthesia Worksheet</t>
  </si>
  <si>
    <t>Cat 3-5 mg/kg</t>
  </si>
  <si>
    <t xml:space="preserve">Dog 2–3 mg/kg
</t>
  </si>
  <si>
    <t>mLs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</si>
</sst>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##"/>
    <numFmt numFmtId="165" formatCode="0.0"/>
  </numFmts>
  <fonts count="20" x14ac:knownFonts="1">
    <font>
      <sz val="11"/>
      <color theme="1"/>
      <name val="Calibri"/>
      <family val="2"/>
      <charset val="1"/>
    </font>
    <font>
      <b/>
      <sz val="18"/>
      <color rgb="FFFFFFFF"/>
      <name val="Aptos"/>
      <family val="2"/>
    </font>
    <font>
      <sz val="11"/>
      <color rgb="FF1F2D3D"/>
      <name val="Aptos"/>
      <family val="2"/>
    </font>
    <font>
      <b/>
      <sz val="12"/>
      <color rgb="FFFFFFFF"/>
      <name val="Aptos"/>
      <family val="2"/>
    </font>
    <font>
      <b/>
      <i/>
      <sz val="10.5"/>
      <color rgb="FF072542"/>
      <name val="Aptos"/>
      <family val="2"/>
    </font>
    <font>
      <i/>
      <sz val="10"/>
      <color rgb="FF1F2D3D"/>
      <name val="Aptos"/>
      <family val="2"/>
    </font>
    <font>
      <sz val="11.5"/>
      <color rgb="FF1F2D3D"/>
      <name val="Aptos"/>
      <family val="2"/>
    </font>
    <font>
      <b/>
      <sz val="11"/>
      <color rgb="FFFFFFFF"/>
      <name val="Aptos"/>
      <family val="2"/>
    </font>
    <font>
      <b/>
      <sz val="11"/>
      <color rgb="FF072542"/>
      <name val="Aptos"/>
      <family val="2"/>
    </font>
    <font>
      <b/>
      <sz val="12"/>
      <color rgb="FF1F2D3D"/>
      <name val="Aptos"/>
      <family val="2"/>
    </font>
    <font>
      <b/>
      <i/>
      <sz val="11"/>
      <color rgb="FF072542"/>
      <name val="Aptos"/>
      <family val="2"/>
    </font>
    <font>
      <sz val="10.5"/>
      <color rgb="FF1F2D3D"/>
      <name val="Aptos"/>
      <family val="2"/>
    </font>
    <font>
      <i/>
      <sz val="10.5"/>
      <color rgb="FF1F2D3D"/>
      <name val="Aptos"/>
      <family val="2"/>
    </font>
    <font>
      <b/>
      <sz val="11"/>
      <color rgb="FF1F2D3D"/>
      <name val="Aptos"/>
      <family val="2"/>
    </font>
    <font>
      <sz val="11"/>
      <color rgb="FF1F2D3D"/>
      <name val="Aptos"/>
      <family val="2"/>
    </font>
    <font>
      <i/>
      <sz val="10"/>
      <color rgb="FF1F2D3D"/>
      <name val="Aptos"/>
      <family val="2"/>
    </font>
    <font>
      <b/>
      <i/>
      <sz val="10.5"/>
      <color rgb="FF072542"/>
      <name val="Aptos"/>
      <family val="2"/>
    </font>
    <font>
      <b/>
      <sz val="11.5"/>
      <color rgb="FF1F2D3D"/>
      <name val="Aptos"/>
      <family val="2"/>
    </font>
    <font>
      <sz val="12"/>
      <color rgb="FF1F2D3D"/>
      <name val="Aptos"/>
      <family val="2"/>
    </font>
    <font>
      <sz val="10"/>
      <color rgb="FF1F2D3D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rgb="FF072542"/>
        <bgColor rgb="FF1F2D3D"/>
      </patternFill>
    </fill>
    <fill>
      <patternFill patternType="solid">
        <fgColor rgb="FFFFFFFF"/>
        <bgColor rgb="FFFCFDFE"/>
      </patternFill>
    </fill>
    <fill>
      <patternFill patternType="solid">
        <fgColor rgb="FFF7F9FC"/>
        <bgColor rgb="FFFCFDFE"/>
      </patternFill>
    </fill>
    <fill>
      <patternFill patternType="solid">
        <fgColor rgb="FFFCFDFE"/>
        <bgColor rgb="FFFFFFFF"/>
      </patternFill>
    </fill>
    <fill>
      <patternFill patternType="solid">
        <fgColor rgb="FFF5E7B0"/>
        <bgColor rgb="FFFFCC99"/>
      </patternFill>
    </fill>
    <fill>
      <patternFill patternType="solid">
        <fgColor theme="0"/>
        <bgColor rgb="FFFFCC99"/>
      </patternFill>
    </fill>
    <fill>
      <patternFill patternType="solid">
        <fgColor theme="0"/>
        <bgColor rgb="FF1F2D3D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2" fillId="3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164" fontId="6" fillId="5" borderId="1" xfId="0" applyNumberFormat="1" applyFont="1" applyFill="1" applyBorder="1" applyAlignment="1">
      <alignment horizontal="right" vertical="center"/>
    </xf>
    <xf numFmtId="2" fontId="2" fillId="3" borderId="1" xfId="0" applyNumberFormat="1" applyFont="1" applyFill="1" applyBorder="1" applyAlignment="1">
      <alignment vertical="center"/>
    </xf>
    <xf numFmtId="0" fontId="8" fillId="3" borderId="1" xfId="0" applyFont="1" applyFill="1" applyBorder="1" applyAlignment="1">
      <alignment horizontal="left" vertical="center"/>
    </xf>
    <xf numFmtId="164" fontId="6" fillId="5" borderId="1" xfId="0" applyNumberFormat="1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164" fontId="6" fillId="5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vertical="center"/>
    </xf>
    <xf numFmtId="165" fontId="2" fillId="3" borderId="1" xfId="0" applyNumberFormat="1" applyFont="1" applyFill="1" applyBorder="1" applyAlignment="1">
      <alignment vertical="center"/>
    </xf>
    <xf numFmtId="0" fontId="12" fillId="3" borderId="1" xfId="0" applyFont="1" applyFill="1" applyBorder="1" applyAlignment="1">
      <alignment horizontal="left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165" fontId="10" fillId="2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vertical="center"/>
    </xf>
    <xf numFmtId="0" fontId="2" fillId="4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165" fontId="5" fillId="3" borderId="1" xfId="0" applyNumberFormat="1" applyFont="1" applyFill="1" applyBorder="1" applyAlignment="1">
      <alignment vertical="center"/>
    </xf>
    <xf numFmtId="2" fontId="5" fillId="3" borderId="1" xfId="0" applyNumberFormat="1" applyFont="1" applyFill="1" applyBorder="1" applyAlignment="1">
      <alignment vertical="center"/>
    </xf>
    <xf numFmtId="0" fontId="13" fillId="3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vertical="center"/>
    </xf>
    <xf numFmtId="0" fontId="15" fillId="3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164" fontId="17" fillId="5" borderId="1" xfId="0" applyNumberFormat="1" applyFont="1" applyFill="1" applyBorder="1" applyAlignment="1">
      <alignment horizontal="center" vertical="center"/>
    </xf>
    <xf numFmtId="165" fontId="18" fillId="7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165" fontId="10" fillId="8" borderId="1" xfId="0" applyNumberFormat="1" applyFont="1" applyFill="1" applyBorder="1" applyAlignment="1">
      <alignment horizontal="center" vertical="center" wrapText="1"/>
    </xf>
    <xf numFmtId="165" fontId="2" fillId="8" borderId="1" xfId="0" applyNumberFormat="1" applyFont="1" applyFill="1" applyBorder="1" applyAlignment="1">
      <alignment vertical="center"/>
    </xf>
    <xf numFmtId="0" fontId="3" fillId="8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0" borderId="5" xfId="0" applyBorder="1"/>
    <xf numFmtId="0" fontId="11" fillId="3" borderId="1" xfId="0" applyFont="1" applyFill="1" applyBorder="1" applyAlignment="1">
      <alignment horizontal="left" vertical="center"/>
    </xf>
    <xf numFmtId="0" fontId="0" fillId="0" borderId="4" xfId="0" applyBorder="1"/>
    <xf numFmtId="0" fontId="5" fillId="3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6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CFDFE"/>
      <rgbColor rgb="FFF7F9F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5E7B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D2AD40"/>
      <rgbColor rgb="FFFF6600"/>
      <rgbColor rgb="FF406080"/>
      <rgbColor rgb="FF969696"/>
      <rgbColor rgb="FF072542"/>
      <rgbColor rgb="FF339966"/>
      <rgbColor rgb="FF003300"/>
      <rgbColor rgb="FF333300"/>
      <rgbColor rgb="FF993300"/>
      <rgbColor rgb="FF993366"/>
      <rgbColor rgb="FF333399"/>
      <rgbColor rgb="FF1F2D3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6</xdr:col>
      <xdr:colOff>138600</xdr:colOff>
      <xdr:row>2</xdr:row>
      <xdr:rowOff>95040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9480" y="0"/>
          <a:ext cx="1618920" cy="761760"/>
        </a:xfrm>
        <a:prstGeom prst="rect">
          <a:avLst/>
        </a:prstGeom>
        <a:noFill/>
        <a:ln w="0"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72542"/>
    <pageSetUpPr fitToPage="1"/>
  </sheetPr>
  <dimension ref="A1:J48"/>
  <sheetViews>
    <sheetView showGridLines="0" tabSelected="1" zoomScale="90" zoomScaleNormal="90" workbookViewId="0">
      <selection activeCell="H16" sqref="H16"/>
    </sheetView>
  </sheetViews>
  <sheetFormatPr defaultColWidth="8.6640625" defaultRowHeight="15" customHeight="1" x14ac:dyDescent="0.3"/>
  <cols>
    <col min="1" max="1" width="16" style="1" customWidth="1"/>
    <col min="2" max="2" width="22" style="1" customWidth="1"/>
    <col min="3" max="3" width="12" style="1" customWidth="1"/>
    <col min="4" max="5" width="11" style="1" customWidth="1"/>
    <col min="6" max="6" width="10" style="1" customWidth="1"/>
    <col min="7" max="7" width="4" style="1" customWidth="1"/>
    <col min="8" max="8" width="20" style="1" customWidth="1"/>
    <col min="9" max="10" width="11" style="1" customWidth="1"/>
    <col min="11" max="11" width="8.6640625" style="1" customWidth="1"/>
    <col min="12" max="16384" width="8.6640625" style="1"/>
  </cols>
  <sheetData>
    <row r="1" spans="1:10" ht="30" customHeight="1" x14ac:dyDescent="0.3">
      <c r="A1" s="52" t="s">
        <v>86</v>
      </c>
      <c r="B1" s="53"/>
      <c r="C1" s="53"/>
      <c r="D1" s="54"/>
      <c r="F1" s="2"/>
      <c r="G1" s="2"/>
      <c r="H1" s="46" t="s">
        <v>0</v>
      </c>
      <c r="I1" s="49"/>
      <c r="J1" s="47"/>
    </row>
    <row r="2" spans="1:10" ht="22.5" customHeight="1" x14ac:dyDescent="0.3">
      <c r="A2" s="55"/>
      <c r="B2" s="56"/>
      <c r="C2" s="56"/>
      <c r="D2" s="57"/>
      <c r="E2" s="2"/>
      <c r="F2" s="2"/>
      <c r="G2" s="2"/>
      <c r="H2" s="4" t="s">
        <v>1</v>
      </c>
      <c r="I2" s="4" t="s">
        <v>2</v>
      </c>
      <c r="J2" s="4"/>
    </row>
    <row r="3" spans="1:10" ht="18" customHeight="1" x14ac:dyDescent="0.3">
      <c r="A3" s="50" t="s">
        <v>3</v>
      </c>
      <c r="B3" s="49"/>
      <c r="C3" s="49"/>
      <c r="D3" s="47"/>
      <c r="E3" s="2"/>
      <c r="F3" s="2"/>
      <c r="G3" s="2"/>
      <c r="H3" s="5" t="s">
        <v>4</v>
      </c>
      <c r="I3" s="6">
        <f>E11*0.05/0.54</f>
        <v>1.0521885521885521</v>
      </c>
      <c r="J3" s="7"/>
    </row>
    <row r="4" spans="1:10" ht="18.75" customHeight="1" x14ac:dyDescent="0.3">
      <c r="A4" s="2"/>
      <c r="B4" s="2"/>
      <c r="C4" s="2"/>
      <c r="D4" s="2"/>
      <c r="E4" s="2"/>
      <c r="F4" s="2"/>
      <c r="G4" s="2"/>
      <c r="H4" s="2"/>
      <c r="I4" s="7"/>
      <c r="J4" s="7"/>
    </row>
    <row r="5" spans="1:10" ht="19.5" customHeight="1" x14ac:dyDescent="0.3">
      <c r="A5" s="51" t="s">
        <v>5</v>
      </c>
      <c r="B5" s="49"/>
      <c r="C5" s="49"/>
      <c r="D5" s="49"/>
      <c r="E5" s="49"/>
      <c r="F5" s="47"/>
      <c r="G5" s="2"/>
      <c r="H5" s="5" t="s">
        <v>6</v>
      </c>
      <c r="I5" s="6">
        <f>E11*0.01</f>
        <v>0.11363636363636363</v>
      </c>
      <c r="J5" s="7"/>
    </row>
    <row r="6" spans="1:10" ht="18.75" customHeight="1" x14ac:dyDescent="0.3">
      <c r="A6" s="8" t="s">
        <v>7</v>
      </c>
      <c r="B6" s="2"/>
      <c r="C6" s="58"/>
      <c r="D6" s="47"/>
      <c r="E6" s="2"/>
      <c r="F6" s="2"/>
      <c r="G6" s="2"/>
      <c r="H6" s="5" t="s">
        <v>8</v>
      </c>
      <c r="I6" s="6">
        <f>E11*0.1</f>
        <v>1.1363636363636365</v>
      </c>
      <c r="J6" s="7"/>
    </row>
    <row r="7" spans="1:10" ht="18.75" customHeight="1" x14ac:dyDescent="0.3">
      <c r="A7" s="2"/>
      <c r="B7" s="2"/>
      <c r="C7" s="2"/>
      <c r="D7" s="2"/>
      <c r="E7" s="2"/>
      <c r="F7" s="2"/>
      <c r="G7" s="2"/>
      <c r="H7" s="2"/>
      <c r="I7" s="7"/>
      <c r="J7" s="7"/>
    </row>
    <row r="8" spans="1:10" ht="18.75" customHeight="1" x14ac:dyDescent="0.3">
      <c r="A8" s="2"/>
      <c r="B8" s="2"/>
      <c r="C8" s="2"/>
      <c r="D8" s="2"/>
      <c r="E8" s="2"/>
      <c r="F8" s="2"/>
      <c r="G8" s="2"/>
      <c r="H8" s="5" t="s">
        <v>9</v>
      </c>
      <c r="I8" s="9">
        <v>0.46</v>
      </c>
      <c r="J8" s="10" t="s">
        <v>10</v>
      </c>
    </row>
    <row r="9" spans="1:10" ht="18.75" customHeight="1" x14ac:dyDescent="0.3">
      <c r="A9" s="2"/>
      <c r="B9" s="2"/>
      <c r="C9" s="2"/>
      <c r="D9" s="2"/>
      <c r="E9" s="2"/>
      <c r="F9" s="2"/>
      <c r="G9" s="2"/>
      <c r="H9" s="5"/>
      <c r="I9" s="9"/>
      <c r="J9" s="10"/>
    </row>
    <row r="10" spans="1:10" ht="18.75" customHeight="1" x14ac:dyDescent="0.3">
      <c r="A10" s="32"/>
      <c r="B10" s="2"/>
      <c r="C10" s="2"/>
      <c r="D10" s="2"/>
      <c r="E10" s="2"/>
      <c r="F10" s="2"/>
      <c r="G10" s="2"/>
      <c r="H10" s="5"/>
      <c r="I10" s="9"/>
      <c r="J10" s="10"/>
    </row>
    <row r="11" spans="1:10" ht="18.75" customHeight="1" x14ac:dyDescent="0.3">
      <c r="A11" s="8"/>
      <c r="B11" s="33" t="s">
        <v>11</v>
      </c>
      <c r="C11" s="39">
        <v>25</v>
      </c>
      <c r="D11" s="11" t="s">
        <v>12</v>
      </c>
      <c r="E11" s="38">
        <f>C11/2.2</f>
        <v>11.363636363636363</v>
      </c>
      <c r="F11" s="40" t="s">
        <v>13</v>
      </c>
      <c r="G11" s="2"/>
      <c r="H11" s="2"/>
      <c r="I11" s="2"/>
      <c r="J11" s="2"/>
    </row>
    <row r="12" spans="1:10" ht="18.75" customHeight="1" x14ac:dyDescent="0.3">
      <c r="A12" s="2"/>
      <c r="B12" s="2"/>
      <c r="C12" s="2"/>
      <c r="D12" s="2"/>
      <c r="E12" s="2"/>
      <c r="F12" s="2"/>
      <c r="G12" s="2"/>
      <c r="H12" s="5" t="s">
        <v>14</v>
      </c>
      <c r="I12" s="6">
        <f>(E11*0.01)/0.1</f>
        <v>1.1363636363636362</v>
      </c>
      <c r="J12" s="12" t="s">
        <v>10</v>
      </c>
    </row>
    <row r="13" spans="1:10" ht="18.7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t="19.5" customHeight="1" x14ac:dyDescent="0.3">
      <c r="A14" s="46" t="s">
        <v>15</v>
      </c>
      <c r="B14" s="49"/>
      <c r="C14" s="47"/>
      <c r="D14" s="13"/>
      <c r="E14" s="13"/>
      <c r="F14" s="13"/>
      <c r="G14" s="2"/>
      <c r="H14" s="3" t="s">
        <v>16</v>
      </c>
      <c r="I14" s="14" t="s">
        <v>17</v>
      </c>
      <c r="J14" s="14" t="s">
        <v>18</v>
      </c>
    </row>
    <row r="15" spans="1:10" ht="18.75" customHeight="1" x14ac:dyDescent="0.3">
      <c r="A15" s="2"/>
      <c r="B15" s="15" t="s">
        <v>19</v>
      </c>
      <c r="C15" s="35" t="s">
        <v>20</v>
      </c>
      <c r="D15" s="16"/>
      <c r="E15" s="15" t="s">
        <v>2</v>
      </c>
      <c r="F15" s="2"/>
      <c r="G15" s="2"/>
      <c r="H15" s="5"/>
      <c r="I15" s="4" t="s">
        <v>2</v>
      </c>
      <c r="J15" s="4" t="s">
        <v>2</v>
      </c>
    </row>
    <row r="16" spans="1:10" ht="34.799999999999997" customHeight="1" x14ac:dyDescent="0.3">
      <c r="A16" s="2"/>
      <c r="B16" s="18" t="s">
        <v>22</v>
      </c>
      <c r="C16" s="19" t="s">
        <v>23</v>
      </c>
      <c r="D16" s="34" t="s">
        <v>24</v>
      </c>
      <c r="E16" s="6">
        <f>E11*10/500</f>
        <v>0.22727272727272727</v>
      </c>
      <c r="F16" s="2"/>
      <c r="G16" s="2"/>
      <c r="H16" s="5" t="s">
        <v>21</v>
      </c>
      <c r="I16" s="6">
        <f>E11*5</f>
        <v>56.818181818181813</v>
      </c>
      <c r="J16" s="17">
        <f>E11*2.5</f>
        <v>28.409090909090907</v>
      </c>
    </row>
    <row r="17" spans="1:10" ht="27" customHeight="1" x14ac:dyDescent="0.3">
      <c r="A17" s="2"/>
      <c r="B17" s="2"/>
      <c r="C17" s="19" t="s">
        <v>25</v>
      </c>
      <c r="D17" s="19" t="s">
        <v>26</v>
      </c>
      <c r="E17" s="6">
        <f>E11*5/500</f>
        <v>0.11363636363636363</v>
      </c>
      <c r="F17" s="21"/>
      <c r="G17" s="2"/>
      <c r="H17" s="5" t="s">
        <v>27</v>
      </c>
      <c r="I17" s="20"/>
      <c r="J17" s="20"/>
    </row>
    <row r="18" spans="1:10" ht="24" customHeight="1" x14ac:dyDescent="0.3">
      <c r="A18" s="2"/>
      <c r="B18" s="2"/>
      <c r="C18" s="19" t="s">
        <v>28</v>
      </c>
      <c r="D18" s="19" t="s">
        <v>29</v>
      </c>
      <c r="E18" s="6">
        <f>E11*3/500</f>
        <v>6.8181818181818191E-2</v>
      </c>
      <c r="F18" s="21"/>
      <c r="G18" s="2"/>
      <c r="H18" s="5" t="s">
        <v>30</v>
      </c>
      <c r="I18" s="6">
        <f>E11*5</f>
        <v>56.818181818181813</v>
      </c>
      <c r="J18" s="17">
        <f>E11*10</f>
        <v>113.63636363636363</v>
      </c>
    </row>
    <row r="19" spans="1:10" ht="24" customHeight="1" x14ac:dyDescent="0.3">
      <c r="A19" s="2"/>
      <c r="B19" s="18" t="s">
        <v>31</v>
      </c>
      <c r="C19" s="19" t="s">
        <v>32</v>
      </c>
      <c r="D19" s="2"/>
      <c r="E19" s="6">
        <f>(E11*0.2)/10</f>
        <v>0.22727272727272729</v>
      </c>
      <c r="F19" s="21"/>
      <c r="G19" s="2"/>
      <c r="H19" s="5" t="s">
        <v>33</v>
      </c>
      <c r="I19" s="6">
        <f>E11</f>
        <v>11.363636363636363</v>
      </c>
      <c r="J19" s="17">
        <f>E11*5</f>
        <v>56.818181818181813</v>
      </c>
    </row>
    <row r="20" spans="1:10" ht="24" customHeight="1" x14ac:dyDescent="0.3">
      <c r="A20" s="2"/>
      <c r="B20" s="18" t="s">
        <v>34</v>
      </c>
      <c r="C20" s="19" t="s">
        <v>35</v>
      </c>
      <c r="D20" s="2"/>
      <c r="E20" s="6">
        <f>E11*0.1/2</f>
        <v>0.56818181818181823</v>
      </c>
      <c r="F20" s="21"/>
      <c r="G20" s="2"/>
      <c r="H20" s="2"/>
      <c r="I20" s="20"/>
      <c r="J20" s="20"/>
    </row>
    <row r="21" spans="1:10" ht="30" customHeight="1" x14ac:dyDescent="0.3">
      <c r="A21" s="2"/>
      <c r="B21" s="18" t="s">
        <v>36</v>
      </c>
      <c r="C21" s="19" t="s">
        <v>32</v>
      </c>
      <c r="D21" s="2"/>
      <c r="E21" s="6">
        <f>E11*0.2/10</f>
        <v>0.22727272727272729</v>
      </c>
      <c r="F21" s="21"/>
      <c r="G21" s="2"/>
      <c r="H21" s="22" t="s">
        <v>37</v>
      </c>
      <c r="I21" s="20"/>
      <c r="J21" s="20"/>
    </row>
    <row r="22" spans="1:10" ht="24" customHeight="1" x14ac:dyDescent="0.3">
      <c r="A22" s="2"/>
      <c r="B22" s="18" t="s">
        <v>38</v>
      </c>
      <c r="C22" s="19" t="s">
        <v>39</v>
      </c>
      <c r="D22" s="2"/>
      <c r="E22" s="6">
        <f>E11*0.01/0.3</f>
        <v>0.37878787878787878</v>
      </c>
      <c r="F22" s="21"/>
      <c r="G22" s="2"/>
      <c r="H22" s="5" t="s">
        <v>40</v>
      </c>
      <c r="I22" s="6">
        <f>E11*90</f>
        <v>1022.7272727272727</v>
      </c>
      <c r="J22" s="23"/>
    </row>
    <row r="23" spans="1:10" ht="24" customHeight="1" x14ac:dyDescent="0.3">
      <c r="A23" s="2"/>
      <c r="B23" s="18" t="s">
        <v>41</v>
      </c>
      <c r="C23" s="19" t="s">
        <v>42</v>
      </c>
      <c r="D23" s="9">
        <f>(0.12*E11)/1.8</f>
        <v>0.75757575757575746</v>
      </c>
      <c r="E23" s="9">
        <f>(0.24*E11)/1.8</f>
        <v>1.5151515151515149</v>
      </c>
      <c r="F23" s="21"/>
      <c r="G23" s="2"/>
      <c r="H23" s="5" t="s">
        <v>33</v>
      </c>
      <c r="I23" s="6">
        <f>E11*50</f>
        <v>568.18181818181813</v>
      </c>
      <c r="J23" s="23"/>
    </row>
    <row r="24" spans="1:10" ht="24" customHeight="1" x14ac:dyDescent="0.3">
      <c r="A24" s="2"/>
      <c r="B24" s="18" t="s">
        <v>43</v>
      </c>
      <c r="C24" s="19" t="s">
        <v>35</v>
      </c>
      <c r="D24" s="2"/>
      <c r="E24" s="6">
        <f>E11*0.1/5</f>
        <v>0.22727272727272729</v>
      </c>
      <c r="F24" s="21"/>
      <c r="G24" s="2"/>
      <c r="H24" s="2"/>
      <c r="I24" s="20"/>
      <c r="J24" s="20"/>
    </row>
    <row r="25" spans="1:10" ht="21.75" customHeight="1" x14ac:dyDescent="0.3">
      <c r="A25" s="2"/>
      <c r="B25" s="2"/>
      <c r="C25" s="2"/>
      <c r="D25" s="2"/>
      <c r="E25" s="21"/>
      <c r="F25" s="21"/>
      <c r="G25" s="2"/>
      <c r="H25" s="46" t="s">
        <v>44</v>
      </c>
      <c r="I25" s="49"/>
      <c r="J25" s="47"/>
    </row>
    <row r="26" spans="1:10" ht="18.75" customHeight="1" x14ac:dyDescent="0.3">
      <c r="A26" s="2"/>
      <c r="B26" s="2"/>
      <c r="C26" s="2"/>
      <c r="D26" s="2"/>
      <c r="E26" s="21"/>
      <c r="F26" s="21"/>
      <c r="G26" s="2"/>
      <c r="H26" s="45"/>
      <c r="I26" s="36"/>
      <c r="J26" s="4" t="s">
        <v>2</v>
      </c>
    </row>
    <row r="27" spans="1:10" ht="19.5" customHeight="1" x14ac:dyDescent="0.3">
      <c r="A27" s="46" t="s">
        <v>46</v>
      </c>
      <c r="B27" s="49"/>
      <c r="C27" s="47"/>
      <c r="D27" s="13"/>
      <c r="E27" s="25" t="s">
        <v>2</v>
      </c>
      <c r="F27" s="25" t="s">
        <v>47</v>
      </c>
      <c r="G27" s="2"/>
      <c r="H27" s="48" t="s">
        <v>45</v>
      </c>
      <c r="I27" s="47"/>
      <c r="J27" s="24">
        <f>E11/10</f>
        <v>1.1363636363636362</v>
      </c>
    </row>
    <row r="28" spans="1:10" ht="18.75" customHeight="1" x14ac:dyDescent="0.3">
      <c r="A28" s="2"/>
      <c r="B28" s="26" t="s">
        <v>1</v>
      </c>
      <c r="C28" s="2"/>
      <c r="D28" s="2"/>
      <c r="E28" s="26" t="s">
        <v>49</v>
      </c>
      <c r="F28" s="26" t="s">
        <v>50</v>
      </c>
      <c r="G28" s="2"/>
      <c r="H28" s="48" t="s">
        <v>48</v>
      </c>
      <c r="I28" s="47"/>
      <c r="J28" s="17">
        <f>(E11*8)/80</f>
        <v>1.1363636363636362</v>
      </c>
    </row>
    <row r="29" spans="1:10" ht="24" customHeight="1" x14ac:dyDescent="0.3">
      <c r="A29" s="2"/>
      <c r="B29" s="18" t="s">
        <v>52</v>
      </c>
      <c r="C29" s="19" t="s">
        <v>53</v>
      </c>
      <c r="D29" s="2"/>
      <c r="E29" s="6">
        <f>E11*4/10</f>
        <v>4.545454545454545</v>
      </c>
      <c r="F29" s="6">
        <f>E11*6/10</f>
        <v>6.8181818181818183</v>
      </c>
      <c r="G29" s="2"/>
      <c r="H29" s="48" t="s">
        <v>51</v>
      </c>
      <c r="I29" s="47"/>
      <c r="J29" s="17">
        <f>(E11*22)/100</f>
        <v>2.5</v>
      </c>
    </row>
    <row r="30" spans="1:10" ht="18.75" customHeight="1" x14ac:dyDescent="0.3">
      <c r="A30" s="2"/>
      <c r="B30" s="2"/>
      <c r="C30" s="2"/>
      <c r="D30" s="2"/>
      <c r="E30" s="21"/>
      <c r="F30" s="21"/>
      <c r="G30" s="2"/>
      <c r="H30" s="48" t="s">
        <v>54</v>
      </c>
      <c r="I30" s="47"/>
      <c r="J30" s="17">
        <f>E11*0.05</f>
        <v>0.56818181818181823</v>
      </c>
    </row>
    <row r="31" spans="1:10" ht="39.6" customHeight="1" x14ac:dyDescent="0.3">
      <c r="A31" s="2"/>
      <c r="B31" s="18" t="s">
        <v>55</v>
      </c>
      <c r="C31" s="19" t="s">
        <v>88</v>
      </c>
      <c r="D31" s="19" t="s">
        <v>30</v>
      </c>
      <c r="E31" s="6">
        <f>E11*2/10</f>
        <v>2.2727272727272725</v>
      </c>
      <c r="F31" s="6">
        <f>E11*3/10</f>
        <v>3.4090909090909092</v>
      </c>
      <c r="G31" s="2"/>
      <c r="H31" s="2"/>
      <c r="I31" s="2"/>
      <c r="J31" s="2"/>
    </row>
    <row r="32" spans="1:10" ht="21.75" customHeight="1" x14ac:dyDescent="0.3">
      <c r="A32" s="2"/>
      <c r="B32" s="2"/>
      <c r="C32" s="2"/>
      <c r="D32" s="19"/>
      <c r="E32" s="6"/>
      <c r="F32" s="6"/>
      <c r="G32" s="2"/>
      <c r="H32" s="2"/>
      <c r="I32" s="2"/>
      <c r="J32" s="2"/>
    </row>
    <row r="33" spans="1:10" ht="18.75" customHeight="1" x14ac:dyDescent="0.3">
      <c r="A33" s="2"/>
      <c r="B33" s="2"/>
      <c r="C33" s="41" t="s">
        <v>87</v>
      </c>
      <c r="D33" s="19" t="s">
        <v>33</v>
      </c>
      <c r="E33" s="6">
        <f>E11*3/10</f>
        <v>3.4090909090909092</v>
      </c>
      <c r="F33" s="6">
        <f>E11*5/10</f>
        <v>5.6818181818181817</v>
      </c>
      <c r="G33" s="2"/>
      <c r="H33" s="46" t="s">
        <v>56</v>
      </c>
      <c r="I33" s="49"/>
      <c r="J33" s="47"/>
    </row>
    <row r="34" spans="1:10" ht="18.75" customHeight="1" x14ac:dyDescent="0.3">
      <c r="A34" s="2"/>
      <c r="B34" s="2"/>
      <c r="C34" s="2"/>
      <c r="D34" s="2"/>
      <c r="E34" s="21"/>
      <c r="F34" s="21"/>
      <c r="G34" s="2"/>
      <c r="H34" s="4" t="s">
        <v>57</v>
      </c>
      <c r="I34" s="2" t="s">
        <v>75</v>
      </c>
      <c r="J34" s="19" t="s">
        <v>76</v>
      </c>
    </row>
    <row r="35" spans="1:10" ht="19.5" customHeight="1" x14ac:dyDescent="0.3">
      <c r="A35" s="46" t="s">
        <v>59</v>
      </c>
      <c r="B35" s="49"/>
      <c r="C35" s="47"/>
      <c r="D35" s="13"/>
      <c r="E35" s="25" t="s">
        <v>47</v>
      </c>
      <c r="F35" s="27"/>
      <c r="G35" s="2"/>
      <c r="H35" s="18" t="s">
        <v>58</v>
      </c>
      <c r="I35" s="9">
        <f>E11*2.2</f>
        <v>25</v>
      </c>
      <c r="J35" s="19"/>
    </row>
    <row r="36" spans="1:10" ht="24" customHeight="1" x14ac:dyDescent="0.3">
      <c r="A36" s="3"/>
      <c r="B36" s="36"/>
      <c r="C36" s="37"/>
      <c r="D36" s="42" t="s">
        <v>89</v>
      </c>
      <c r="E36" s="43" t="s">
        <v>89</v>
      </c>
      <c r="F36" s="44"/>
      <c r="G36" s="2"/>
      <c r="H36" s="28" t="s">
        <v>60</v>
      </c>
      <c r="I36" s="4" t="s">
        <v>61</v>
      </c>
      <c r="J36" s="4" t="s">
        <v>62</v>
      </c>
    </row>
    <row r="37" spans="1:10" ht="24" customHeight="1" x14ac:dyDescent="0.3">
      <c r="A37" s="2"/>
      <c r="B37" s="18" t="s">
        <v>63</v>
      </c>
      <c r="C37" s="19" t="s">
        <v>64</v>
      </c>
      <c r="D37" s="6">
        <f>E11*2.2/50</f>
        <v>0.5</v>
      </c>
      <c r="E37" s="6">
        <f>E11*4.4/50</f>
        <v>1</v>
      </c>
      <c r="F37" s="21"/>
      <c r="G37" s="2"/>
      <c r="H37" s="18" t="s">
        <v>65</v>
      </c>
      <c r="I37" s="2" t="s">
        <v>66</v>
      </c>
      <c r="J37" s="19" t="s">
        <v>67</v>
      </c>
    </row>
    <row r="38" spans="1:10" ht="24" customHeight="1" x14ac:dyDescent="0.3">
      <c r="A38" s="2"/>
      <c r="B38" s="18" t="s">
        <v>68</v>
      </c>
      <c r="C38" s="19" t="s">
        <v>32</v>
      </c>
      <c r="D38" s="19" t="s">
        <v>69</v>
      </c>
      <c r="E38" s="6">
        <f>E11*0.2/5</f>
        <v>0.45454545454545459</v>
      </c>
      <c r="F38" s="21"/>
      <c r="G38" s="2"/>
      <c r="H38" s="18" t="s">
        <v>70</v>
      </c>
      <c r="I38" s="6">
        <f>(E11*0.1)/1.5</f>
        <v>0.75757575757575768</v>
      </c>
      <c r="J38" s="17">
        <f>(E11*0.05)/1.5</f>
        <v>0.37878787878787884</v>
      </c>
    </row>
    <row r="39" spans="1:10" ht="18.75" customHeight="1" x14ac:dyDescent="0.3">
      <c r="A39" s="2"/>
      <c r="B39" s="2"/>
      <c r="C39" s="19" t="s">
        <v>35</v>
      </c>
      <c r="D39" s="19" t="s">
        <v>71</v>
      </c>
      <c r="E39" s="6">
        <f>(E11*0.1)/5</f>
        <v>0.22727272727272729</v>
      </c>
      <c r="F39" s="21"/>
      <c r="G39" s="2"/>
      <c r="H39" s="18" t="s">
        <v>72</v>
      </c>
      <c r="I39" s="6">
        <f>(E11*0.1)/0.5</f>
        <v>2.2727272727272729</v>
      </c>
      <c r="J39" s="17">
        <f>(E11*0.05)/0.5</f>
        <v>1.1363636363636365</v>
      </c>
    </row>
    <row r="40" spans="1:10" ht="18.75" customHeight="1" x14ac:dyDescent="0.3">
      <c r="A40" s="2"/>
      <c r="B40" s="48" t="s">
        <v>73</v>
      </c>
      <c r="C40" s="47"/>
      <c r="D40" s="9">
        <f>D23</f>
        <v>0.75757575757575746</v>
      </c>
      <c r="E40" s="9">
        <f>E23</f>
        <v>1.5151515151515149</v>
      </c>
      <c r="F40" s="21"/>
      <c r="G40" s="2"/>
      <c r="H40" s="2"/>
      <c r="I40" s="2"/>
      <c r="J40" s="2"/>
    </row>
    <row r="41" spans="1:10" ht="24" customHeight="1" x14ac:dyDescent="0.3">
      <c r="A41" s="2"/>
      <c r="B41" s="18" t="s">
        <v>34</v>
      </c>
      <c r="C41" s="36"/>
      <c r="D41" s="37"/>
      <c r="E41" s="6">
        <f>E21</f>
        <v>0.22727272727272729</v>
      </c>
      <c r="F41" s="7"/>
      <c r="G41" s="2"/>
      <c r="H41" s="18"/>
      <c r="I41" s="2" t="s">
        <v>75</v>
      </c>
      <c r="J41" s="19" t="s">
        <v>76</v>
      </c>
    </row>
    <row r="42" spans="1:10" ht="18.75" customHeight="1" x14ac:dyDescent="0.3">
      <c r="A42" s="2"/>
      <c r="B42" s="18" t="s">
        <v>77</v>
      </c>
      <c r="C42" s="19" t="s">
        <v>78</v>
      </c>
      <c r="D42" s="2"/>
      <c r="E42" s="6">
        <f>E11*2/20</f>
        <v>1.1363636363636362</v>
      </c>
      <c r="F42" s="2"/>
      <c r="G42" s="2"/>
      <c r="H42" s="18" t="s">
        <v>74</v>
      </c>
      <c r="I42" s="6">
        <f>E11*10</f>
        <v>113.63636363636363</v>
      </c>
      <c r="J42" s="17">
        <f>E11*45</f>
        <v>511.36363636363637</v>
      </c>
    </row>
    <row r="43" spans="1:10" ht="19.5" customHeight="1" x14ac:dyDescent="0.3">
      <c r="A43" s="2"/>
      <c r="B43" s="2"/>
      <c r="C43" s="2"/>
      <c r="D43" s="2"/>
      <c r="E43" s="21"/>
      <c r="F43" s="21"/>
      <c r="G43" s="2"/>
      <c r="H43" s="18" t="s">
        <v>81</v>
      </c>
      <c r="I43" s="6">
        <f>E11*5</f>
        <v>56.818181818181813</v>
      </c>
      <c r="J43" s="17">
        <f>E11*10</f>
        <v>113.63636363636363</v>
      </c>
    </row>
    <row r="44" spans="1:10" ht="21.75" customHeight="1" x14ac:dyDescent="0.3">
      <c r="A44" s="46" t="s">
        <v>79</v>
      </c>
      <c r="B44" s="47"/>
      <c r="C44" s="13"/>
      <c r="D44" s="29" t="s">
        <v>2</v>
      </c>
      <c r="E44" s="13"/>
      <c r="F44" s="13"/>
      <c r="G44" s="2"/>
      <c r="H44" s="18" t="s">
        <v>83</v>
      </c>
      <c r="I44" s="6">
        <f>E11*5</f>
        <v>56.818181818181813</v>
      </c>
      <c r="J44" s="17">
        <f>E11*10</f>
        <v>113.63636363636363</v>
      </c>
    </row>
    <row r="45" spans="1:10" ht="29.4" customHeight="1" x14ac:dyDescent="0.3">
      <c r="A45" s="2"/>
      <c r="B45" s="22" t="s">
        <v>80</v>
      </c>
      <c r="C45" s="36"/>
      <c r="D45" s="36"/>
      <c r="E45" s="37"/>
      <c r="F45" s="7"/>
      <c r="G45" s="2"/>
      <c r="H45" s="18" t="s">
        <v>85</v>
      </c>
      <c r="I45" s="2"/>
      <c r="J45" s="17">
        <f>E11*15</f>
        <v>170.45454545454544</v>
      </c>
    </row>
    <row r="46" spans="1:10" ht="29.4" customHeight="1" x14ac:dyDescent="0.3">
      <c r="A46" s="2"/>
      <c r="B46" s="2" t="s">
        <v>14</v>
      </c>
      <c r="C46" s="2"/>
      <c r="D46" s="6">
        <f>I12</f>
        <v>1.1363636363636362</v>
      </c>
      <c r="E46" s="30" t="s">
        <v>82</v>
      </c>
      <c r="F46" s="21"/>
      <c r="G46" s="2"/>
      <c r="H46" s="2"/>
      <c r="I46" s="2"/>
      <c r="J46" s="2"/>
    </row>
    <row r="47" spans="1:10" ht="18.75" customHeight="1" x14ac:dyDescent="0.3">
      <c r="A47" s="2"/>
      <c r="B47" s="2" t="s">
        <v>84</v>
      </c>
      <c r="C47" s="2"/>
      <c r="D47" s="6">
        <f>I8</f>
        <v>0.46</v>
      </c>
      <c r="E47" s="31" t="s">
        <v>82</v>
      </c>
      <c r="F47" s="7"/>
      <c r="G47" s="2"/>
    </row>
    <row r="48" spans="1:10" ht="15" customHeight="1" x14ac:dyDescent="0.3">
      <c r="A48" s="2"/>
      <c r="B48" s="2"/>
      <c r="C48" s="2"/>
      <c r="D48" s="2"/>
      <c r="E48" s="2"/>
      <c r="F48" s="2"/>
    </row>
  </sheetData>
  <mergeCells count="16">
    <mergeCell ref="H1:J1"/>
    <mergeCell ref="A1:D2"/>
    <mergeCell ref="H33:J33"/>
    <mergeCell ref="C6:D6"/>
    <mergeCell ref="A44:B44"/>
    <mergeCell ref="H30:I30"/>
    <mergeCell ref="A14:C14"/>
    <mergeCell ref="A3:D3"/>
    <mergeCell ref="A5:F5"/>
    <mergeCell ref="A27:C27"/>
    <mergeCell ref="H29:I29"/>
    <mergeCell ref="A35:C35"/>
    <mergeCell ref="H25:J25"/>
    <mergeCell ref="H28:I28"/>
    <mergeCell ref="H27:I27"/>
    <mergeCell ref="B40:C40"/>
  </mergeCells>
  <pageMargins left="0.25" right="0.25" top="0.75" bottom="0.75" header="0.3" footer="0.3"/>
  <pageSetup scale="65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6640625" defaultRowHeight="15" customHeight="1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6640625" defaultRowHeight="15" customHeight="1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Angie Woodward</cp:lastModifiedBy>
  <cp:revision>0</cp:revision>
  <cp:lastPrinted>2026-03-16T19:32:10Z</cp:lastPrinted>
  <dcterms:created xsi:type="dcterms:W3CDTF">2017-06-08T15:53:47Z</dcterms:created>
  <dcterms:modified xsi:type="dcterms:W3CDTF">2026-03-20T15:34:44Z</dcterms:modified>
  <dc:language>en-US</dc:language>
</cp:coreProperties>
</file>